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7 (c)" sheetId="1" r:id="rId1"/>
  </sheets>
  <externalReferences>
    <externalReference r:id="rId4"/>
  </externalReferences>
  <definedNames>
    <definedName name="_xlnm.Print_Titles" localSheetId="0">'St.27 (c)'!$1:$3</definedName>
  </definedNames>
  <calcPr fullCalcOnLoad="1"/>
</workbook>
</file>

<file path=xl/sharedStrings.xml><?xml version="1.0" encoding="utf-8"?>
<sst xmlns="http://schemas.openxmlformats.org/spreadsheetml/2006/main" count="82" uniqueCount="82">
  <si>
    <t>ACTUALS</t>
  </si>
  <si>
    <t>R.E.</t>
  </si>
  <si>
    <t>B.E.</t>
  </si>
  <si>
    <t>(Est.)</t>
  </si>
  <si>
    <t>2007-08</t>
  </si>
  <si>
    <t>2008-09</t>
  </si>
  <si>
    <t>2009-10</t>
  </si>
  <si>
    <t>I. OULAY ON STATE PLAN</t>
  </si>
  <si>
    <t xml:space="preserve"> 1. On Revenue Account </t>
  </si>
  <si>
    <t xml:space="preserve"> 2. On Capital Account</t>
  </si>
  <si>
    <t>II. STATE'S BUDGETARY RESOURCES</t>
  </si>
  <si>
    <t>(Other than negotiated loans  and State Enterprises Market Borrowings)</t>
  </si>
  <si>
    <t xml:space="preserve"> 1. Balance from current revenue  </t>
  </si>
  <si>
    <t xml:space="preserve"> 2. Upgradation grants for Capital Works</t>
  </si>
  <si>
    <t xml:space="preserve"> 3. Grants to Local Bodies</t>
  </si>
  <si>
    <t xml:space="preserve"> 4. Contribution of Public Enterprises</t>
  </si>
  <si>
    <t xml:space="preserve">   i. State Electricity Board</t>
  </si>
  <si>
    <t xml:space="preserve">   ii. Road Transport Corporation </t>
  </si>
  <si>
    <t xml:space="preserve">   iii. Others</t>
  </si>
  <si>
    <t xml:space="preserve"> 5. Loans from market by State Government (Net)</t>
  </si>
  <si>
    <t xml:space="preserve"> 6. Share of small savings </t>
  </si>
  <si>
    <t xml:space="preserve"> 7. State Provident Funds (Net) </t>
  </si>
  <si>
    <t xml:space="preserve"> 8. Misc. Capital Receipts (Net)</t>
  </si>
  <si>
    <t xml:space="preserve"> 9. Contribution of Local Bodies  (other than Market Borrowings)</t>
  </si>
  <si>
    <t xml:space="preserve">TOTAL II. </t>
  </si>
  <si>
    <t>III. ADDITIONAL RESOURCE MOBILISATION</t>
  </si>
  <si>
    <t xml:space="preserve"> 6. 2007-2008 measures</t>
  </si>
  <si>
    <t xml:space="preserve"> 7. 2008-2009 measures</t>
  </si>
  <si>
    <t xml:space="preserve"> 8. 2009-2010 measures</t>
  </si>
  <si>
    <t>Total  III</t>
  </si>
  <si>
    <t>IV. NEGOTIATED LOANS AND STATE  ENTERPRISES MARKET BORROWINGS</t>
  </si>
  <si>
    <t xml:space="preserve"> </t>
  </si>
  <si>
    <t>A. NEGOTIATED LOANS (GROSS)</t>
  </si>
  <si>
    <t xml:space="preserve"> 1. STATE GOVERNMENT</t>
  </si>
  <si>
    <t xml:space="preserve">   i. Loans from LIC </t>
  </si>
  <si>
    <t xml:space="preserve">   ii. Loans from RBI/NABARD</t>
  </si>
  <si>
    <t xml:space="preserve">   iii. Loans from GIC/IDBI</t>
  </si>
  <si>
    <t xml:space="preserve"> 2. STATE ENTERPRISES </t>
  </si>
  <si>
    <t xml:space="preserve">   i. Loans from LIC to SEB</t>
  </si>
  <si>
    <t xml:space="preserve">   ii. Loans from LIC TO SRTC</t>
  </si>
  <si>
    <t xml:space="preserve">   iii. Loans from REC</t>
  </si>
  <si>
    <t xml:space="preserve">   iv. Loans from GIC</t>
  </si>
  <si>
    <t xml:space="preserve">   v. Others</t>
  </si>
  <si>
    <t xml:space="preserve"> 3. OTHERS (e.g. .LOCAL BODIES)</t>
  </si>
  <si>
    <t xml:space="preserve">   i. Loans from LIC</t>
  </si>
  <si>
    <t xml:space="preserve">     a. Water Supply &amp; Sewerage</t>
  </si>
  <si>
    <t xml:space="preserve">     b. Other purposes (please specify)</t>
  </si>
  <si>
    <t>TOTAL OF A :</t>
  </si>
  <si>
    <t>B. MARKET BORROWINGS (NET)</t>
  </si>
  <si>
    <t xml:space="preserve"> 1. State Enterprises (SEB)</t>
  </si>
  <si>
    <t xml:space="preserve"> 2. State Enterprises (SRTC)</t>
  </si>
  <si>
    <t xml:space="preserve"> 3. Housing Board</t>
  </si>
  <si>
    <t xml:space="preserve"> 4. Others. </t>
  </si>
  <si>
    <t>TOTAL OF B :</t>
  </si>
  <si>
    <t>C. RURAL DEBENTURES</t>
  </si>
  <si>
    <t>TOTAL IV (A+B+C)</t>
  </si>
  <si>
    <t xml:space="preserve">V. Withdrawal from reserves etc. </t>
  </si>
  <si>
    <t xml:space="preserve"> 1. Liquidation of  Security/ Treasury bills (Cash Balance Investment Account)</t>
  </si>
  <si>
    <t xml:space="preserve"> 2. Drawing down of cash balance</t>
  </si>
  <si>
    <t xml:space="preserve"> 3. Increase in overdraft*</t>
  </si>
  <si>
    <t xml:space="preserve"> 4. Ways &amp; Means advance from RBI</t>
  </si>
  <si>
    <t>TOTAL OF V :</t>
  </si>
  <si>
    <t xml:space="preserve">VI. State's Total Resources </t>
  </si>
  <si>
    <t xml:space="preserve">VII. Central Assistance </t>
  </si>
  <si>
    <t xml:space="preserve"> 1. Grants </t>
  </si>
  <si>
    <t xml:space="preserve"> 2. Loans </t>
  </si>
  <si>
    <t>VIII. Aggregate Resources (VI+VII)</t>
  </si>
  <si>
    <t>IX. Opening deficit/surplus</t>
  </si>
  <si>
    <t xml:space="preserve">X. Net resources </t>
  </si>
  <si>
    <t>XI. Closing deficit/surplus</t>
  </si>
  <si>
    <t>* Increase in negative cash balance may be taken as representing overdraft</t>
  </si>
  <si>
    <t>2010-11</t>
  </si>
  <si>
    <t>2011-12</t>
  </si>
  <si>
    <t>2012-13</t>
  </si>
  <si>
    <t>2013-14</t>
  </si>
  <si>
    <t>2014-15</t>
  </si>
  <si>
    <t xml:space="preserve"> 4. 2010-2011 measures</t>
  </si>
  <si>
    <t xml:space="preserve"> 5. 2011-2012 measures</t>
  </si>
  <si>
    <t xml:space="preserve"> 6. 2012-2013 measures</t>
  </si>
  <si>
    <t xml:space="preserve"> 7. 2013-2014 measures</t>
  </si>
  <si>
    <t xml:space="preserve"> 8. 2014-2015 measures</t>
  </si>
  <si>
    <t>TOTAL OF VII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</si>
</sst>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000"/>
    <numFmt numFmtId="193" formatCode="0.000"/>
    <numFmt numFmtId="194" formatCode="0.0"/>
    <numFmt numFmtId="195" formatCode="_(* #,##0.0000_);_(* \(#,##0.0000\);_(* &quot;-&quot;????_);_(@_)"/>
    <numFmt numFmtId="196" formatCode="0.00_);[Red]\(0.00\)"/>
    <numFmt numFmtId="197" formatCode="0.00_);\(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sz val="12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43" fontId="19" fillId="0" borderId="0" xfId="55" applyNumberFormat="1" applyFont="1" applyBorder="1" applyAlignment="1">
      <alignment vertical="center"/>
      <protection/>
    </xf>
    <xf numFmtId="43" fontId="23" fillId="24" borderId="0" xfId="42" applyNumberFormat="1" applyFont="1" applyFill="1" applyBorder="1" applyAlignment="1">
      <alignment vertical="center"/>
    </xf>
    <xf numFmtId="0" fontId="19" fillId="24" borderId="0" xfId="55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right" vertical="center"/>
      <protection/>
    </xf>
    <xf numFmtId="0" fontId="18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vertical="center"/>
      <protection/>
    </xf>
    <xf numFmtId="0" fontId="19" fillId="0" borderId="10" xfId="55" applyFont="1" applyBorder="1" applyAlignment="1">
      <alignment horizontal="left" vertical="center" wrapText="1"/>
      <protection/>
    </xf>
    <xf numFmtId="0" fontId="19" fillId="0" borderId="10" xfId="55" applyFont="1" applyBorder="1" applyAlignment="1">
      <alignment vertical="center" wrapText="1"/>
      <protection/>
    </xf>
    <xf numFmtId="43" fontId="19" fillId="0" borderId="10" xfId="42" applyNumberFormat="1" applyFont="1" applyBorder="1" applyAlignment="1">
      <alignment vertical="center"/>
    </xf>
    <xf numFmtId="2" fontId="19" fillId="0" borderId="10" xfId="42" applyNumberFormat="1" applyFont="1" applyFill="1" applyBorder="1" applyAlignment="1">
      <alignment horizontal="right" vertical="center" wrapText="1"/>
    </xf>
    <xf numFmtId="2" fontId="19" fillId="0" borderId="10" xfId="55" applyNumberFormat="1" applyFont="1" applyBorder="1" applyAlignment="1">
      <alignment vertical="center"/>
      <protection/>
    </xf>
    <xf numFmtId="43" fontId="21" fillId="0" borderId="10" xfId="42" applyNumberFormat="1" applyFont="1" applyBorder="1" applyAlignment="1">
      <alignment vertical="center"/>
    </xf>
    <xf numFmtId="0" fontId="19" fillId="0" borderId="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left" vertical="center" wrapText="1"/>
      <protection/>
    </xf>
    <xf numFmtId="0" fontId="19" fillId="0" borderId="0" xfId="55" applyFont="1" applyBorder="1" applyAlignment="1">
      <alignment vertical="center" wrapText="1"/>
      <protection/>
    </xf>
    <xf numFmtId="0" fontId="19" fillId="24" borderId="10" xfId="55" applyFont="1" applyFill="1" applyBorder="1" applyAlignment="1">
      <alignment vertical="center"/>
      <protection/>
    </xf>
    <xf numFmtId="0" fontId="18" fillId="24" borderId="10" xfId="55" applyFont="1" applyFill="1" applyBorder="1" applyAlignment="1">
      <alignment vertical="center" wrapText="1"/>
      <protection/>
    </xf>
    <xf numFmtId="43" fontId="19" fillId="24" borderId="10" xfId="42" applyNumberFormat="1" applyFont="1" applyFill="1" applyBorder="1" applyAlignment="1">
      <alignment vertical="center"/>
    </xf>
    <xf numFmtId="43" fontId="19" fillId="0" borderId="10" xfId="55" applyNumberFormat="1" applyFont="1" applyBorder="1" applyAlignment="1">
      <alignment vertical="center"/>
      <protection/>
    </xf>
    <xf numFmtId="2" fontId="19" fillId="24" borderId="10" xfId="55" applyNumberFormat="1" applyFont="1" applyFill="1" applyBorder="1" applyAlignment="1">
      <alignment vertical="center"/>
      <protection/>
    </xf>
    <xf numFmtId="2" fontId="18" fillId="0" borderId="10" xfId="55" applyNumberFormat="1" applyFont="1" applyBorder="1" applyAlignment="1">
      <alignment horizontal="right" vertical="center"/>
      <protection/>
    </xf>
    <xf numFmtId="197" fontId="19" fillId="0" borderId="10" xfId="55" applyNumberFormat="1" applyFont="1" applyBorder="1" applyAlignment="1">
      <alignment vertical="center"/>
      <protection/>
    </xf>
    <xf numFmtId="197" fontId="19" fillId="0" borderId="10" xfId="0" applyNumberFormat="1" applyFont="1" applyBorder="1" applyAlignment="1">
      <alignment vertical="center"/>
    </xf>
    <xf numFmtId="43" fontId="18" fillId="24" borderId="10" xfId="42" applyNumberFormat="1" applyFont="1" applyFill="1" applyBorder="1" applyAlignment="1">
      <alignment vertical="center"/>
    </xf>
    <xf numFmtId="0" fontId="18" fillId="24" borderId="0" xfId="55" applyFont="1" applyFill="1" applyBorder="1" applyAlignment="1">
      <alignment vertical="center"/>
      <protection/>
    </xf>
    <xf numFmtId="43" fontId="22" fillId="24" borderId="10" xfId="42" applyNumberFormat="1" applyFont="1" applyFill="1" applyBorder="1" applyAlignment="1">
      <alignment vertical="center"/>
    </xf>
    <xf numFmtId="0" fontId="19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ut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shell"/>
    </sheetNames>
    <sheetDataSet>
      <sheetData sheetId="0">
        <row r="23">
          <cell r="I23">
            <v>30</v>
          </cell>
        </row>
        <row r="24">
          <cell r="I24">
            <v>28.9</v>
          </cell>
        </row>
        <row r="25">
          <cell r="I25">
            <v>1703.36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77"/>
  <sheetViews>
    <sheetView tabSelected="1" zoomScaleSheetLayoutView="100" workbookViewId="0" topLeftCell="A1">
      <selection activeCell="G74" sqref="G74"/>
    </sheetView>
  </sheetViews>
  <sheetFormatPr defaultColWidth="9.140625" defaultRowHeight="12.75"/>
  <cols>
    <col min="1" max="1" width="51.421875" style="19" customWidth="1"/>
    <col min="2" max="2" width="12.28125" style="3" customWidth="1"/>
    <col min="3" max="3" width="11.8515625" style="3" customWidth="1"/>
    <col min="4" max="4" width="12.8515625" style="3" customWidth="1"/>
    <col min="5" max="8" width="11.8515625" style="3" customWidth="1"/>
    <col min="9" max="9" width="12.57421875" style="3" bestFit="1" customWidth="1"/>
    <col min="10" max="16384" width="9.140625" style="3" customWidth="1"/>
  </cols>
  <sheetData>
    <row r="1" spans="1:9" ht="15.75">
      <c r="A1" s="31"/>
      <c r="B1" s="32" t="s">
        <v>0</v>
      </c>
      <c r="C1" s="32"/>
      <c r="D1" s="32"/>
      <c r="E1" s="32"/>
      <c r="F1" s="32"/>
      <c r="G1" s="1" t="s">
        <v>1</v>
      </c>
      <c r="H1" s="1" t="s">
        <v>2</v>
      </c>
      <c r="I1" s="1" t="s">
        <v>3</v>
      </c>
    </row>
    <row r="2" spans="1:9" s="16" customFormat="1" ht="15.75">
      <c r="A2" s="31"/>
      <c r="B2" s="1" t="s">
        <v>4</v>
      </c>
      <c r="C2" s="1" t="s">
        <v>5</v>
      </c>
      <c r="D2" s="1" t="s">
        <v>6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</row>
    <row r="3" spans="1:9" ht="15.75">
      <c r="A3" s="17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15.75">
      <c r="A4" s="18" t="s">
        <v>7</v>
      </c>
      <c r="B4" s="7">
        <f>B5+B6</f>
        <v>623.18</v>
      </c>
      <c r="C4" s="7">
        <f aca="true" t="shared" si="0" ref="C4:I4">C5+C6</f>
        <v>883.25</v>
      </c>
      <c r="D4" s="7">
        <f t="shared" si="0"/>
        <v>955.86</v>
      </c>
      <c r="E4" s="7">
        <f t="shared" si="0"/>
        <v>886.62</v>
      </c>
      <c r="F4" s="7">
        <f t="shared" si="0"/>
        <v>1090.1</v>
      </c>
      <c r="G4" s="7">
        <f t="shared" si="0"/>
        <v>1932.0400000000002</v>
      </c>
      <c r="H4" s="7">
        <f t="shared" si="0"/>
        <v>2100.24</v>
      </c>
      <c r="I4" s="25">
        <f t="shared" si="0"/>
        <v>2328.2035787500004</v>
      </c>
    </row>
    <row r="5" spans="1:9" ht="15.75">
      <c r="A5" s="11" t="s">
        <v>8</v>
      </c>
      <c r="B5" s="20">
        <f>354.65-0.48</f>
        <v>354.16999999999996</v>
      </c>
      <c r="C5" s="20">
        <f>442.91-1.54</f>
        <v>441.37</v>
      </c>
      <c r="D5" s="20">
        <f>508.09-0.48</f>
        <v>507.60999999999996</v>
      </c>
      <c r="E5" s="20">
        <f>587.96-0.99</f>
        <v>586.97</v>
      </c>
      <c r="F5" s="20">
        <f>653.09-3.21</f>
        <v>649.88</v>
      </c>
      <c r="G5" s="20">
        <f>1066.27-4.94-41.55</f>
        <v>1019.78</v>
      </c>
      <c r="H5" s="20">
        <f>1225.09-10.27-137.44</f>
        <v>1077.3799999999999</v>
      </c>
      <c r="I5" s="24">
        <v>1202.8068750000002</v>
      </c>
    </row>
    <row r="6" spans="1:9" ht="15.75">
      <c r="A6" s="11" t="s">
        <v>9</v>
      </c>
      <c r="B6" s="20">
        <f>356.2-52.58-34.61</f>
        <v>269.01</v>
      </c>
      <c r="C6" s="20">
        <f>514.42-44.98-27.56</f>
        <v>441.87999999999994</v>
      </c>
      <c r="D6" s="20">
        <f>527.44-44.58-34.61</f>
        <v>448.25000000000006</v>
      </c>
      <c r="E6" s="20">
        <f>370.65-27.19-43.81</f>
        <v>299.65</v>
      </c>
      <c r="F6" s="20">
        <f>541.24-48.13-52.89</f>
        <v>440.22</v>
      </c>
      <c r="G6" s="20">
        <f>1504.25-207.08-81.59-303.32</f>
        <v>912.2600000000002</v>
      </c>
      <c r="H6" s="20">
        <f>1325.02-62.03-59.39-180.74</f>
        <v>1022.8599999999999</v>
      </c>
      <c r="I6" s="24">
        <v>1125.3967037500001</v>
      </c>
    </row>
    <row r="7" spans="1:9" ht="15.75">
      <c r="A7" s="8" t="s">
        <v>10</v>
      </c>
      <c r="B7" s="9"/>
      <c r="C7" s="9"/>
      <c r="D7" s="2"/>
      <c r="E7" s="2"/>
      <c r="F7" s="2"/>
      <c r="G7" s="2"/>
      <c r="H7" s="2"/>
      <c r="I7" s="2"/>
    </row>
    <row r="8" spans="1:9" ht="31.5">
      <c r="A8" s="10" t="s">
        <v>11</v>
      </c>
      <c r="B8" s="2"/>
      <c r="C8" s="2"/>
      <c r="D8" s="2"/>
      <c r="E8" s="2"/>
      <c r="F8" s="2"/>
      <c r="G8" s="2"/>
      <c r="H8" s="2"/>
      <c r="I8" s="2"/>
    </row>
    <row r="9" spans="1:9" ht="15.75">
      <c r="A9" s="11" t="s">
        <v>12</v>
      </c>
      <c r="B9" s="12">
        <f>114.95-60</f>
        <v>54.95</v>
      </c>
      <c r="C9" s="26">
        <v>-54.97</v>
      </c>
      <c r="D9" s="26">
        <f>-418.78</f>
        <v>-418.78</v>
      </c>
      <c r="E9" s="27">
        <v>-146.76</v>
      </c>
      <c r="F9" s="26">
        <v>-185.8900000000001</v>
      </c>
      <c r="G9" s="27">
        <v>-294.54</v>
      </c>
      <c r="H9" s="27">
        <v>-289.28</v>
      </c>
      <c r="I9" s="26">
        <f>-('[1]nutshell'!$I$25-'[1]nutshell'!$I$24-'[1]nutshell'!$I$23)</f>
        <v>-1644.4599999999998</v>
      </c>
    </row>
    <row r="10" spans="1:9" ht="15.75">
      <c r="A10" s="11" t="s">
        <v>13</v>
      </c>
      <c r="B10" s="12">
        <v>2.85</v>
      </c>
      <c r="C10" s="2">
        <v>52.85</v>
      </c>
      <c r="D10" s="2">
        <v>42.84</v>
      </c>
      <c r="E10" s="2">
        <v>6.18</v>
      </c>
      <c r="F10" s="13">
        <v>26.72</v>
      </c>
      <c r="G10" s="13">
        <v>111.36</v>
      </c>
      <c r="H10" s="13">
        <v>111.36</v>
      </c>
      <c r="I10" s="13">
        <v>111.36</v>
      </c>
    </row>
    <row r="11" spans="1:9" ht="15.75">
      <c r="A11" s="11" t="s">
        <v>14</v>
      </c>
      <c r="B11" s="12"/>
      <c r="C11" s="12">
        <v>0</v>
      </c>
      <c r="D11" s="2"/>
      <c r="E11" s="2"/>
      <c r="F11" s="2"/>
      <c r="G11" s="2"/>
      <c r="H11" s="2"/>
      <c r="I11" s="2"/>
    </row>
    <row r="12" spans="1:9" ht="15.75">
      <c r="A12" s="11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5.75">
      <c r="A13" s="11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.75">
      <c r="A14" s="11" t="s">
        <v>17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5.75">
      <c r="A15" s="11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.75">
      <c r="A16" s="11" t="s">
        <v>19</v>
      </c>
      <c r="B16" s="12">
        <f>249.91-25.65-7.17</f>
        <v>217.09</v>
      </c>
      <c r="C16" s="2">
        <f>293.12-45.16-4.78</f>
        <v>243.18</v>
      </c>
      <c r="D16" s="14">
        <f>328.01-51.01-4.78</f>
        <v>272.22</v>
      </c>
      <c r="E16" s="2">
        <f>0-31.11-4.78</f>
        <v>-35.89</v>
      </c>
      <c r="F16" s="2">
        <f>40-16.72-4.78</f>
        <v>18.5</v>
      </c>
      <c r="G16" s="12">
        <f>112.26-20-4.78</f>
        <v>87.48</v>
      </c>
      <c r="H16" s="2">
        <f>263.46-16.57-4.78</f>
        <v>242.10999999999999</v>
      </c>
      <c r="I16" s="2">
        <v>288.73</v>
      </c>
    </row>
    <row r="17" spans="1:9" ht="15.75">
      <c r="A17" s="11" t="s">
        <v>20</v>
      </c>
      <c r="B17" s="12">
        <v>0</v>
      </c>
      <c r="C17" s="2">
        <v>0</v>
      </c>
      <c r="D17" s="2"/>
      <c r="E17" s="2"/>
      <c r="F17" s="2">
        <v>11.89</v>
      </c>
      <c r="G17" s="12">
        <v>30</v>
      </c>
      <c r="H17" s="12">
        <v>20</v>
      </c>
      <c r="I17" s="2">
        <v>14.11</v>
      </c>
    </row>
    <row r="18" spans="1:9" ht="15.75">
      <c r="A18" s="11" t="s">
        <v>21</v>
      </c>
      <c r="B18" s="12">
        <f>83.35-69.72</f>
        <v>13.629999999999995</v>
      </c>
      <c r="C18" s="2">
        <f>94.45-67.46</f>
        <v>26.99000000000001</v>
      </c>
      <c r="D18" s="2">
        <f>104.57-61.61</f>
        <v>42.959999999999994</v>
      </c>
      <c r="E18" s="2">
        <f>158.35-63.1</f>
        <v>95.25</v>
      </c>
      <c r="F18" s="2">
        <f>191.22-125.53</f>
        <v>65.69</v>
      </c>
      <c r="G18" s="2">
        <f>206-121</f>
        <v>85</v>
      </c>
      <c r="H18" s="14">
        <f>200.7-200</f>
        <v>0.6999999999999886</v>
      </c>
      <c r="I18" s="2">
        <v>0.8</v>
      </c>
    </row>
    <row r="19" spans="1:9" ht="15.75">
      <c r="A19" s="11" t="s">
        <v>22</v>
      </c>
      <c r="B19" s="22">
        <v>0.74</v>
      </c>
      <c r="C19" s="2">
        <v>2.43</v>
      </c>
      <c r="D19" s="2">
        <v>2.61</v>
      </c>
      <c r="E19" s="2">
        <v>15.72</v>
      </c>
      <c r="F19" s="2">
        <v>-4.06</v>
      </c>
      <c r="G19" s="2">
        <v>0.4</v>
      </c>
      <c r="H19" s="2">
        <v>-0.37</v>
      </c>
      <c r="I19" s="2">
        <v>-0.37</v>
      </c>
    </row>
    <row r="20" spans="1:9" ht="31.5">
      <c r="A20" s="11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.75">
      <c r="A21" s="21" t="s">
        <v>24</v>
      </c>
      <c r="B21" s="22">
        <f>SUM(B9:B20)</f>
        <v>289.26</v>
      </c>
      <c r="C21" s="22">
        <f aca="true" t="shared" si="1" ref="C21:I21">SUM(C9:C20)</f>
        <v>270.48</v>
      </c>
      <c r="D21" s="22">
        <f t="shared" si="1"/>
        <v>-58.14999999999992</v>
      </c>
      <c r="E21" s="22">
        <f t="shared" si="1"/>
        <v>-65.49999999999997</v>
      </c>
      <c r="F21" s="22">
        <f t="shared" si="1"/>
        <v>-67.15000000000009</v>
      </c>
      <c r="G21" s="22">
        <f t="shared" si="1"/>
        <v>19.699999999999996</v>
      </c>
      <c r="H21" s="22">
        <f t="shared" si="1"/>
        <v>84.52000000000001</v>
      </c>
      <c r="I21" s="22">
        <f t="shared" si="1"/>
        <v>-1229.83</v>
      </c>
    </row>
    <row r="22" spans="1:9" ht="15.75">
      <c r="A22" s="8" t="s">
        <v>25</v>
      </c>
      <c r="B22" s="15"/>
      <c r="C22" s="9"/>
      <c r="D22" s="2"/>
      <c r="E22" s="2"/>
      <c r="F22" s="2"/>
      <c r="G22" s="2"/>
      <c r="H22" s="2"/>
      <c r="I22" s="2"/>
    </row>
    <row r="23" spans="1:9" ht="15.75">
      <c r="A23" s="11" t="s">
        <v>26</v>
      </c>
      <c r="B23" s="12">
        <v>60</v>
      </c>
      <c r="C23" s="12">
        <v>0</v>
      </c>
      <c r="D23" s="2"/>
      <c r="E23" s="2"/>
      <c r="F23" s="2"/>
      <c r="G23" s="2"/>
      <c r="H23" s="2"/>
      <c r="I23" s="2"/>
    </row>
    <row r="24" spans="1:9" ht="15.75">
      <c r="A24" s="11" t="s">
        <v>27</v>
      </c>
      <c r="B24" s="12">
        <v>0</v>
      </c>
      <c r="C24" s="2">
        <v>114.41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15.75">
      <c r="A25" s="11" t="s">
        <v>28</v>
      </c>
      <c r="B25" s="12">
        <v>0</v>
      </c>
      <c r="C25" s="12">
        <v>0</v>
      </c>
      <c r="D25" s="14">
        <v>237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5.75">
      <c r="A26" s="11" t="s">
        <v>76</v>
      </c>
      <c r="B26" s="12">
        <v>0</v>
      </c>
      <c r="C26" s="12">
        <v>0</v>
      </c>
      <c r="D26" s="12">
        <v>0</v>
      </c>
      <c r="E26" s="14">
        <v>33</v>
      </c>
      <c r="F26" s="12">
        <v>0</v>
      </c>
      <c r="G26" s="12">
        <v>0</v>
      </c>
      <c r="H26" s="12">
        <v>0</v>
      </c>
      <c r="I26" s="12">
        <v>0</v>
      </c>
    </row>
    <row r="27" spans="1:9" ht="15.75">
      <c r="A27" s="11" t="s">
        <v>77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5.75">
      <c r="A28" s="11" t="s">
        <v>78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5.75">
      <c r="A29" s="11" t="s">
        <v>79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15.78</v>
      </c>
      <c r="I29" s="12">
        <v>0</v>
      </c>
    </row>
    <row r="30" spans="1:9" ht="15.75">
      <c r="A30" s="11" t="s">
        <v>80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f>H29*1.1</f>
        <v>17.358</v>
      </c>
    </row>
    <row r="31" spans="1:9" s="29" customFormat="1" ht="15.75">
      <c r="A31" s="21" t="s">
        <v>29</v>
      </c>
      <c r="B31" s="28">
        <f>SUM(B23:B30)</f>
        <v>60</v>
      </c>
      <c r="C31" s="28">
        <f aca="true" t="shared" si="2" ref="C31:I31">SUM(C23:C30)</f>
        <v>114.41</v>
      </c>
      <c r="D31" s="28">
        <f t="shared" si="2"/>
        <v>237</v>
      </c>
      <c r="E31" s="28">
        <f t="shared" si="2"/>
        <v>33</v>
      </c>
      <c r="F31" s="28">
        <f t="shared" si="2"/>
        <v>0</v>
      </c>
      <c r="G31" s="28">
        <f t="shared" si="2"/>
        <v>0</v>
      </c>
      <c r="H31" s="28">
        <f t="shared" si="2"/>
        <v>15.78</v>
      </c>
      <c r="I31" s="28">
        <f t="shared" si="2"/>
        <v>17.358</v>
      </c>
    </row>
    <row r="32" spans="1:9" ht="31.5">
      <c r="A32" s="8" t="s">
        <v>30</v>
      </c>
      <c r="B32" s="12" t="s">
        <v>31</v>
      </c>
      <c r="C32" s="2"/>
      <c r="D32" s="2"/>
      <c r="E32" s="2"/>
      <c r="F32" s="2"/>
      <c r="G32" s="2"/>
      <c r="H32" s="2"/>
      <c r="I32" s="2"/>
    </row>
    <row r="33" spans="1:9" ht="15.75">
      <c r="A33" s="8" t="s">
        <v>32</v>
      </c>
      <c r="B33" s="12"/>
      <c r="C33" s="2"/>
      <c r="D33" s="2"/>
      <c r="E33" s="2"/>
      <c r="F33" s="2"/>
      <c r="G33" s="2"/>
      <c r="H33" s="2"/>
      <c r="I33" s="2"/>
    </row>
    <row r="34" spans="1:9" ht="15.75">
      <c r="A34" s="11" t="s">
        <v>33</v>
      </c>
      <c r="B34" s="12"/>
      <c r="C34" s="2"/>
      <c r="D34" s="2"/>
      <c r="E34" s="2"/>
      <c r="F34" s="2"/>
      <c r="G34" s="2"/>
      <c r="H34" s="2"/>
      <c r="I34" s="2"/>
    </row>
    <row r="35" spans="1:9" ht="15.75">
      <c r="A35" s="11" t="s">
        <v>34</v>
      </c>
      <c r="B35" s="12">
        <f>9.64</f>
        <v>9.64</v>
      </c>
      <c r="C35" s="2">
        <v>10.08</v>
      </c>
      <c r="D35" s="2">
        <v>10.08</v>
      </c>
      <c r="E35" s="2">
        <v>10.08</v>
      </c>
      <c r="F35" s="12">
        <v>5</v>
      </c>
      <c r="G35" s="14">
        <v>10</v>
      </c>
      <c r="H35" s="14">
        <v>10</v>
      </c>
      <c r="I35" s="14">
        <v>10</v>
      </c>
    </row>
    <row r="36" spans="1:9" ht="15.75">
      <c r="A36" s="11" t="s">
        <v>35</v>
      </c>
      <c r="B36" s="12">
        <f>14.54</f>
        <v>14.54</v>
      </c>
      <c r="C36" s="2">
        <v>33.81</v>
      </c>
      <c r="D36" s="2">
        <v>44.85</v>
      </c>
      <c r="E36" s="14">
        <v>40</v>
      </c>
      <c r="F36" s="12">
        <v>30</v>
      </c>
      <c r="G36" s="14">
        <v>80</v>
      </c>
      <c r="H36" s="14">
        <v>80</v>
      </c>
      <c r="I36" s="14">
        <v>80</v>
      </c>
    </row>
    <row r="37" spans="1:9" ht="15.75">
      <c r="A37" s="11" t="s">
        <v>36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ht="15.75">
      <c r="A38" s="11"/>
      <c r="B38" s="12"/>
      <c r="C38" s="12"/>
      <c r="D38" s="12"/>
      <c r="E38" s="12"/>
      <c r="F38" s="12"/>
      <c r="G38" s="12"/>
      <c r="H38" s="12"/>
      <c r="I38" s="12"/>
    </row>
    <row r="39" spans="1:9" ht="15.75">
      <c r="A39" s="11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ht="15.75">
      <c r="A40" s="11" t="s">
        <v>38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15.75">
      <c r="A41" s="11" t="s">
        <v>39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ht="15.75">
      <c r="A42" s="11" t="s">
        <v>40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ht="15.75">
      <c r="A43" s="11" t="s">
        <v>41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ht="15.75">
      <c r="A44" s="11" t="s">
        <v>42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ht="15.75">
      <c r="A45" s="11" t="s">
        <v>43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ht="15.75">
      <c r="A46" s="11" t="s">
        <v>44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ht="15.75">
      <c r="A47" s="11" t="s">
        <v>45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ht="14.25" customHeight="1">
      <c r="A48" s="11" t="s">
        <v>46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s="29" customFormat="1" ht="15.75">
      <c r="A49" s="21" t="s">
        <v>47</v>
      </c>
      <c r="B49" s="28">
        <f>SUM(B35:B48)</f>
        <v>24.18</v>
      </c>
      <c r="C49" s="28">
        <f aca="true" t="shared" si="3" ref="C49:I49">SUM(C35:C48)</f>
        <v>43.89</v>
      </c>
      <c r="D49" s="28">
        <f t="shared" si="3"/>
        <v>54.93</v>
      </c>
      <c r="E49" s="28">
        <f t="shared" si="3"/>
        <v>50.08</v>
      </c>
      <c r="F49" s="28">
        <f t="shared" si="3"/>
        <v>35</v>
      </c>
      <c r="G49" s="28">
        <f t="shared" si="3"/>
        <v>90</v>
      </c>
      <c r="H49" s="28">
        <f t="shared" si="3"/>
        <v>90</v>
      </c>
      <c r="I49" s="28">
        <f t="shared" si="3"/>
        <v>90</v>
      </c>
    </row>
    <row r="50" spans="1:9" ht="15.75">
      <c r="A50" s="8" t="s">
        <v>48</v>
      </c>
      <c r="B50" s="12"/>
      <c r="C50" s="2"/>
      <c r="D50" s="2"/>
      <c r="E50" s="2"/>
      <c r="F50" s="2"/>
      <c r="G50" s="2"/>
      <c r="H50" s="2"/>
      <c r="I50" s="2"/>
    </row>
    <row r="51" spans="1:9" ht="15.75">
      <c r="A51" s="11" t="s">
        <v>49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15.75">
      <c r="A52" s="11" t="s">
        <v>50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ht="15.75">
      <c r="A53" s="11" t="s">
        <v>51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ht="15.75">
      <c r="A54" s="11" t="s">
        <v>52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29" customFormat="1" ht="15.75">
      <c r="A55" s="21" t="s">
        <v>53</v>
      </c>
      <c r="B55" s="28">
        <f>SUM(B51:B54)</f>
        <v>0</v>
      </c>
      <c r="C55" s="28">
        <f aca="true" t="shared" si="4" ref="C55:I56">SUM(C51:C54)</f>
        <v>0</v>
      </c>
      <c r="D55" s="28">
        <f t="shared" si="4"/>
        <v>0</v>
      </c>
      <c r="E55" s="28">
        <f t="shared" si="4"/>
        <v>0</v>
      </c>
      <c r="F55" s="28">
        <f t="shared" si="4"/>
        <v>0</v>
      </c>
      <c r="G55" s="28">
        <f t="shared" si="4"/>
        <v>0</v>
      </c>
      <c r="H55" s="28">
        <f t="shared" si="4"/>
        <v>0</v>
      </c>
      <c r="I55" s="28">
        <f t="shared" si="4"/>
        <v>0</v>
      </c>
    </row>
    <row r="56" spans="1:9" s="29" customFormat="1" ht="15.75">
      <c r="A56" s="21" t="s">
        <v>54</v>
      </c>
      <c r="B56" s="30">
        <v>0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28">
        <f t="shared" si="4"/>
        <v>0</v>
      </c>
      <c r="G56" s="28">
        <f t="shared" si="4"/>
        <v>0</v>
      </c>
      <c r="H56" s="28">
        <f t="shared" si="4"/>
        <v>0</v>
      </c>
      <c r="I56" s="28">
        <f t="shared" si="4"/>
        <v>0</v>
      </c>
    </row>
    <row r="57" spans="1:9" s="29" customFormat="1" ht="15.75">
      <c r="A57" s="21" t="s">
        <v>55</v>
      </c>
      <c r="B57" s="28">
        <f>B56+B55+B49</f>
        <v>24.18</v>
      </c>
      <c r="C57" s="28">
        <f aca="true" t="shared" si="5" ref="C57:I57">C56+C55+C49</f>
        <v>43.89</v>
      </c>
      <c r="D57" s="28">
        <f t="shared" si="5"/>
        <v>54.93</v>
      </c>
      <c r="E57" s="28">
        <f t="shared" si="5"/>
        <v>50.08</v>
      </c>
      <c r="F57" s="28">
        <f t="shared" si="5"/>
        <v>35</v>
      </c>
      <c r="G57" s="28">
        <f t="shared" si="5"/>
        <v>90</v>
      </c>
      <c r="H57" s="28">
        <f t="shared" si="5"/>
        <v>90</v>
      </c>
      <c r="I57" s="28">
        <f t="shared" si="5"/>
        <v>90</v>
      </c>
    </row>
    <row r="58" spans="1:9" ht="15.75">
      <c r="A58" s="8" t="s">
        <v>56</v>
      </c>
      <c r="B58" s="12"/>
      <c r="C58" s="2"/>
      <c r="D58" s="2"/>
      <c r="E58" s="2"/>
      <c r="F58" s="2"/>
      <c r="G58" s="2"/>
      <c r="H58" s="2"/>
      <c r="I58" s="2"/>
    </row>
    <row r="59" spans="1:9" ht="15.75" customHeight="1">
      <c r="A59" s="11" t="s">
        <v>57</v>
      </c>
      <c r="B59" s="12"/>
      <c r="C59" s="14"/>
      <c r="D59" s="14"/>
      <c r="E59" s="2"/>
      <c r="F59" s="12"/>
      <c r="G59" s="12">
        <f>1817-1817</f>
        <v>0</v>
      </c>
      <c r="H59" s="12">
        <f>1817-1817</f>
        <v>0</v>
      </c>
      <c r="I59" s="12"/>
    </row>
    <row r="60" spans="1:9" ht="15.75">
      <c r="A60" s="11" t="s">
        <v>58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/>
    </row>
    <row r="61" spans="1:9" ht="15.75">
      <c r="A61" s="11" t="s">
        <v>59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ht="15.75">
      <c r="A62" s="11" t="s">
        <v>60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ht="15.75">
      <c r="A63" s="8" t="s">
        <v>61</v>
      </c>
      <c r="B63" s="12">
        <f>B62+B61+B60+B59</f>
        <v>0</v>
      </c>
      <c r="C63" s="12">
        <f aca="true" t="shared" si="6" ref="C63:I63">C62+C61+C60+C59</f>
        <v>0</v>
      </c>
      <c r="D63" s="12">
        <f t="shared" si="6"/>
        <v>0</v>
      </c>
      <c r="E63" s="12">
        <f t="shared" si="6"/>
        <v>0</v>
      </c>
      <c r="F63" s="12">
        <f t="shared" si="6"/>
        <v>0</v>
      </c>
      <c r="G63" s="12">
        <f t="shared" si="6"/>
        <v>0</v>
      </c>
      <c r="H63" s="12">
        <f t="shared" si="6"/>
        <v>0</v>
      </c>
      <c r="I63" s="12">
        <f t="shared" si="6"/>
        <v>0</v>
      </c>
    </row>
    <row r="64" spans="1:9" ht="15.75">
      <c r="A64" s="8" t="s">
        <v>62</v>
      </c>
      <c r="B64" s="12">
        <f>B63+B57</f>
        <v>24.18</v>
      </c>
      <c r="C64" s="12">
        <f aca="true" t="shared" si="7" ref="C64:I64">C63+C57</f>
        <v>43.89</v>
      </c>
      <c r="D64" s="12">
        <f t="shared" si="7"/>
        <v>54.93</v>
      </c>
      <c r="E64" s="12">
        <f t="shared" si="7"/>
        <v>50.08</v>
      </c>
      <c r="F64" s="12">
        <f t="shared" si="7"/>
        <v>35</v>
      </c>
      <c r="G64" s="12">
        <f t="shared" si="7"/>
        <v>90</v>
      </c>
      <c r="H64" s="12">
        <f>H63+H57+H31+H21</f>
        <v>190.3</v>
      </c>
      <c r="I64" s="12">
        <f t="shared" si="7"/>
        <v>90</v>
      </c>
    </row>
    <row r="65" spans="1:9" ht="15.75">
      <c r="A65" s="8" t="s">
        <v>63</v>
      </c>
      <c r="B65" s="12"/>
      <c r="C65" s="2"/>
      <c r="D65" s="2"/>
      <c r="E65" s="2"/>
      <c r="F65" s="2"/>
      <c r="G65" s="2"/>
      <c r="H65" s="2"/>
      <c r="I65" s="2"/>
    </row>
    <row r="66" spans="1:9" ht="15.75">
      <c r="A66" s="11" t="s">
        <v>64</v>
      </c>
      <c r="B66" s="12">
        <v>414.2</v>
      </c>
      <c r="C66" s="12">
        <v>529.19</v>
      </c>
      <c r="D66" s="12">
        <v>946.8</v>
      </c>
      <c r="E66" s="12">
        <f>800-58.33</f>
        <v>741.67</v>
      </c>
      <c r="F66" s="12">
        <v>1063.34</v>
      </c>
      <c r="G66" s="12">
        <v>1805.79</v>
      </c>
      <c r="H66" s="12">
        <f>1790.51+120</f>
        <v>1910.51</v>
      </c>
      <c r="I66" s="23">
        <f>H66*1.1125</f>
        <v>2125.442375</v>
      </c>
    </row>
    <row r="67" spans="1:9" ht="15.75">
      <c r="A67" s="11" t="s">
        <v>65</v>
      </c>
      <c r="B67" s="12">
        <v>0.87</v>
      </c>
      <c r="C67" s="12">
        <v>0.2</v>
      </c>
      <c r="D67" s="12">
        <v>0</v>
      </c>
      <c r="E67" s="12">
        <v>0.07</v>
      </c>
      <c r="F67" s="12">
        <v>0.55</v>
      </c>
      <c r="G67" s="12">
        <v>14.5</v>
      </c>
      <c r="H67" s="12">
        <v>14.5</v>
      </c>
      <c r="I67" s="12">
        <v>14.5</v>
      </c>
    </row>
    <row r="68" spans="1:9" ht="15.75">
      <c r="A68" s="8" t="s">
        <v>81</v>
      </c>
      <c r="B68" s="12">
        <f>B67+B66</f>
        <v>415.07</v>
      </c>
      <c r="C68" s="12">
        <f aca="true" t="shared" si="8" ref="C68:I68">C67+C66</f>
        <v>529.3900000000001</v>
      </c>
      <c r="D68" s="12">
        <f t="shared" si="8"/>
        <v>946.8</v>
      </c>
      <c r="E68" s="12">
        <f t="shared" si="8"/>
        <v>741.74</v>
      </c>
      <c r="F68" s="12">
        <f t="shared" si="8"/>
        <v>1063.8899999999999</v>
      </c>
      <c r="G68" s="12">
        <f t="shared" si="8"/>
        <v>1820.29</v>
      </c>
      <c r="H68" s="12">
        <f>H67+H66</f>
        <v>1925.01</v>
      </c>
      <c r="I68" s="12">
        <f t="shared" si="8"/>
        <v>2139.942375</v>
      </c>
    </row>
    <row r="69" spans="1:12" ht="15.75">
      <c r="A69" s="8" t="s">
        <v>66</v>
      </c>
      <c r="B69" s="22">
        <f aca="true" t="shared" si="9" ref="B69:G69">B68+B64+B21</f>
        <v>728.51</v>
      </c>
      <c r="C69" s="22">
        <f t="shared" si="9"/>
        <v>843.7600000000001</v>
      </c>
      <c r="D69" s="22">
        <f t="shared" si="9"/>
        <v>943.5799999999999</v>
      </c>
      <c r="E69" s="22">
        <f t="shared" si="9"/>
        <v>726.32</v>
      </c>
      <c r="F69" s="22">
        <f t="shared" si="9"/>
        <v>1031.7399999999998</v>
      </c>
      <c r="G69" s="22">
        <f t="shared" si="9"/>
        <v>1929.99</v>
      </c>
      <c r="H69" s="22">
        <f>H68+H64</f>
        <v>2115.31</v>
      </c>
      <c r="I69" s="22">
        <f>I68+I64</f>
        <v>2229.942375</v>
      </c>
      <c r="L69" s="4"/>
    </row>
    <row r="70" spans="1:9" ht="15.75">
      <c r="A70" s="8" t="s">
        <v>67</v>
      </c>
      <c r="B70" s="12">
        <v>64.19</v>
      </c>
      <c r="C70" s="12">
        <f aca="true" t="shared" si="10" ref="C70:I70">B72</f>
        <v>78.83</v>
      </c>
      <c r="D70" s="12">
        <f t="shared" si="10"/>
        <v>95.68</v>
      </c>
      <c r="E70" s="12">
        <f t="shared" si="10"/>
        <v>114.99</v>
      </c>
      <c r="F70" s="12">
        <f t="shared" si="10"/>
        <v>154.79</v>
      </c>
      <c r="G70" s="12">
        <f t="shared" si="10"/>
        <v>128.76</v>
      </c>
      <c r="H70" s="12">
        <f t="shared" si="10"/>
        <v>69.44</v>
      </c>
      <c r="I70" s="12">
        <f t="shared" si="10"/>
        <v>69.4</v>
      </c>
    </row>
    <row r="71" spans="1:9" ht="15.75">
      <c r="A71" s="8" t="s">
        <v>68</v>
      </c>
      <c r="B71" s="12">
        <f>B69+B70</f>
        <v>792.7</v>
      </c>
      <c r="C71" s="12">
        <f aca="true" t="shared" si="11" ref="C71:H71">C69+C70</f>
        <v>922.5900000000001</v>
      </c>
      <c r="D71" s="12">
        <f t="shared" si="11"/>
        <v>1039.26</v>
      </c>
      <c r="E71" s="12">
        <f t="shared" si="11"/>
        <v>841.3100000000001</v>
      </c>
      <c r="F71" s="12">
        <f t="shared" si="11"/>
        <v>1186.5299999999997</v>
      </c>
      <c r="G71" s="12">
        <f t="shared" si="11"/>
        <v>2058.75</v>
      </c>
      <c r="H71" s="12">
        <f t="shared" si="11"/>
        <v>2184.75</v>
      </c>
      <c r="I71" s="12">
        <f>I69+I70</f>
        <v>2299.342375</v>
      </c>
    </row>
    <row r="72" spans="1:9" ht="15.75">
      <c r="A72" s="8" t="s">
        <v>69</v>
      </c>
      <c r="B72" s="12">
        <v>78.83</v>
      </c>
      <c r="C72" s="12">
        <v>95.68</v>
      </c>
      <c r="D72" s="12">
        <v>114.99</v>
      </c>
      <c r="E72" s="12">
        <v>154.79</v>
      </c>
      <c r="F72" s="12">
        <v>128.76</v>
      </c>
      <c r="G72" s="12">
        <v>69.44</v>
      </c>
      <c r="H72" s="12">
        <v>69.4</v>
      </c>
      <c r="I72" s="12">
        <v>0</v>
      </c>
    </row>
    <row r="73" spans="1:9" ht="15.75">
      <c r="A73" s="33" t="s">
        <v>70</v>
      </c>
      <c r="B73" s="33"/>
      <c r="C73" s="33"/>
      <c r="D73" s="33"/>
      <c r="E73" s="33"/>
      <c r="F73" s="33"/>
      <c r="G73" s="33"/>
      <c r="H73" s="33"/>
      <c r="I73" s="33"/>
    </row>
    <row r="74" spans="2:8" ht="15.75">
      <c r="B74" s="4"/>
      <c r="C74" s="4"/>
      <c r="D74" s="4"/>
      <c r="E74" s="4"/>
      <c r="F74" s="4"/>
      <c r="G74" s="4"/>
      <c r="H74" s="4"/>
    </row>
    <row r="77" spans="2:9" ht="15.75">
      <c r="B77" s="5"/>
      <c r="C77" s="5"/>
      <c r="D77" s="5"/>
      <c r="E77" s="5"/>
      <c r="F77" s="5"/>
      <c r="G77" s="5"/>
      <c r="H77" s="5"/>
      <c r="I77" s="6"/>
    </row>
  </sheetData>
  <sheetProtection/>
  <mergeCells count="3">
    <mergeCell ref="A1:A2"/>
    <mergeCell ref="B1:F1"/>
    <mergeCell ref="A73:I73"/>
  </mergeCells>
  <printOptions gridLines="1" horizontalCentered="1"/>
  <pageMargins left="0.39" right="0.35" top="0.45" bottom="1.34" header="0.46" footer="1.02"/>
  <pageSetup firstPageNumber="360" useFirstPageNumber="1" horizontalDpi="600" verticalDpi="600" orientation="landscape" paperSize="9" scale="90" r:id="rId1"/>
  <headerFooter alignWithMargins="0">
    <oddHeader>&amp;L&amp;"Arial,Bold"&amp;12Name of State : SIKKIM
&amp;C&amp;"Arial,Bold"&amp;12Financing of State Plan&amp;R&amp;"Arial,Bold"&amp;12Statement No 27 (c)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2013-12-05T07:05:03Z</cp:lastPrinted>
  <dcterms:created xsi:type="dcterms:W3CDTF">2008-02-04T07:34:26Z</dcterms:created>
  <dcterms:modified xsi:type="dcterms:W3CDTF">2013-12-05T07:05:30Z</dcterms:modified>
  <cp:category/>
  <cp:version/>
  <cp:contentType/>
  <cp:contentStatus/>
</cp:coreProperties>
</file>